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8025" activeTab="0"/>
  </bookViews>
  <sheets>
    <sheet name="Foglio1" sheetId="1" r:id="rId1"/>
  </sheets>
  <definedNames>
    <definedName name="_xlnm.Print_Area" localSheetId="0">'Foglio1'!$A$1:$L$70</definedName>
    <definedName name="H">'Foglio1'!$F$4</definedName>
    <definedName name="T">'Foglio1'!$C$4</definedName>
    <definedName name="TBU">'Foglio1'!$G$4</definedName>
    <definedName name="TR">'Foglio1'!$I$4</definedName>
    <definedName name="UR">'Foglio1'!$D$4</definedName>
    <definedName name="VAU">'Foglio1'!$H$4</definedName>
    <definedName name="X">'Foglio1'!$E$4</definedName>
  </definedNames>
  <calcPr fullCalcOnLoad="1"/>
</workbook>
</file>

<file path=xl/sharedStrings.xml><?xml version="1.0" encoding="utf-8"?>
<sst xmlns="http://schemas.openxmlformats.org/spreadsheetml/2006/main" count="209" uniqueCount="50">
  <si>
    <t>T</t>
  </si>
  <si>
    <t>UR</t>
  </si>
  <si>
    <t>X</t>
  </si>
  <si>
    <t>H</t>
  </si>
  <si>
    <t>TBU</t>
  </si>
  <si>
    <t>VAU</t>
  </si>
  <si>
    <t xml:space="preserve">T </t>
  </si>
  <si>
    <t>x</t>
  </si>
  <si>
    <t>INPUT 1</t>
  </si>
  <si>
    <t>INPUT 2</t>
  </si>
  <si>
    <t>Tr</t>
  </si>
  <si>
    <t>INPUT1</t>
  </si>
  <si>
    <t>INPUT2</t>
  </si>
  <si>
    <t>OUTPUT</t>
  </si>
  <si>
    <t>NON CALCOLABILE</t>
  </si>
  <si>
    <t>LEGENDA</t>
  </si>
  <si>
    <t>°C</t>
  </si>
  <si>
    <t>%</t>
  </si>
  <si>
    <t>essere scelti tra i seguenti simboli</t>
  </si>
  <si>
    <t>u.m.</t>
  </si>
  <si>
    <t>=h_t_x(26;0,0105)</t>
  </si>
  <si>
    <t>richiamo la funzione h noti t e x e quindi</t>
  </si>
  <si>
    <t>oppure</t>
  </si>
  <si>
    <t>SIMBOLOGIA</t>
  </si>
  <si>
    <t>combinazioni possibili…ma non è finita</t>
  </si>
  <si>
    <t>qui…vedere il codice VBA</t>
  </si>
  <si>
    <t>ESEMPIO UTILIZZO</t>
  </si>
  <si>
    <t>con output, input1 e input2 che possono</t>
  </si>
  <si>
    <t xml:space="preserve">sono già presenti tutte le </t>
  </si>
  <si>
    <t>=h_x_t(0,0105;26)</t>
  </si>
  <si>
    <t>TR</t>
  </si>
  <si>
    <t>COORDINATE  PUNTO CONTROLLO</t>
  </si>
  <si>
    <t>VALORE RIFERIMENTO</t>
  </si>
  <si>
    <r>
      <t>Vau</t>
    </r>
    <r>
      <rPr>
        <sz val="10"/>
        <rFont val="Arial"/>
        <family val="0"/>
      </rPr>
      <t xml:space="preserve"> = volume specifico aria umida mc/kg aria secca</t>
    </r>
  </si>
  <si>
    <r>
      <t xml:space="preserve">Tr </t>
    </r>
    <r>
      <rPr>
        <sz val="10"/>
        <rFont val="Arial"/>
        <family val="0"/>
      </rPr>
      <t xml:space="preserve">  = temp rugiada aria umida °C</t>
    </r>
  </si>
  <si>
    <r>
      <t>Tbu</t>
    </r>
    <r>
      <rPr>
        <sz val="10"/>
        <rFont val="Arial"/>
        <family val="0"/>
      </rPr>
      <t xml:space="preserve"> = temp a bulbo umido °C</t>
    </r>
  </si>
  <si>
    <r>
      <t>H</t>
    </r>
    <r>
      <rPr>
        <sz val="10"/>
        <rFont val="Arial"/>
        <family val="0"/>
      </rPr>
      <t xml:space="preserve">  = entalpia specifica kJ/kg aria secca</t>
    </r>
  </si>
  <si>
    <r>
      <t>X</t>
    </r>
    <r>
      <rPr>
        <sz val="10"/>
        <rFont val="Arial"/>
        <family val="0"/>
      </rPr>
      <t xml:space="preserve">  = umidità specifica kg vapore/kg aria secca</t>
    </r>
  </si>
  <si>
    <r>
      <t>Ur</t>
    </r>
    <r>
      <rPr>
        <sz val="10"/>
        <rFont val="Arial"/>
        <family val="0"/>
      </rPr>
      <t xml:space="preserve"> = umidità relativa %</t>
    </r>
  </si>
  <si>
    <r>
      <t>T</t>
    </r>
    <r>
      <rPr>
        <sz val="10"/>
        <rFont val="Arial"/>
        <family val="0"/>
      </rPr>
      <t xml:space="preserve">   = temp a bulbo secco °C</t>
    </r>
  </si>
  <si>
    <t>ESEMPIO UTILIZZO RICHIAMA TUTTE LE FUNZIONI IMPLEMENTATE</t>
  </si>
  <si>
    <t>da perfezionare</t>
  </si>
  <si>
    <t>www.ingenergia.it</t>
  </si>
  <si>
    <t>kg/kg</t>
  </si>
  <si>
    <t>J/kg</t>
  </si>
  <si>
    <t>t, ur, x, h, tbu, vau, tr</t>
  </si>
  <si>
    <t>se ad esempio voglio l'entalpia noti x, t</t>
  </si>
  <si>
    <t>temperatura 26°C e umidità specifica 0,0105 kg/kg</t>
  </si>
  <si>
    <t>=output_input1_input2(num1;num2)</t>
  </si>
  <si>
    <r>
      <t>kg/m</t>
    </r>
    <r>
      <rPr>
        <b/>
        <vertAlign val="superscript"/>
        <sz val="10"/>
        <rFont val="Arabic Typesetting"/>
        <family val="4"/>
      </rPr>
      <t>3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</si>
</sst>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0.000000000"/>
    <numFmt numFmtId="172" formatCode="0.0000000000"/>
    <numFmt numFmtId="173" formatCode="0.00000000000"/>
    <numFmt numFmtId="174" formatCode="0.0000000000000000"/>
    <numFmt numFmtId="175" formatCode="0.000000000000"/>
    <numFmt numFmtId="176" formatCode="0.0000000000000"/>
    <numFmt numFmtId="177" formatCode="0.00000000000000"/>
    <numFmt numFmtId="178" formatCode="0.000000000000000"/>
    <numFmt numFmtId="179" formatCode="0.00000000000000000"/>
    <numFmt numFmtId="180" formatCode="0.000000000000000000"/>
    <numFmt numFmtId="181" formatCode="0.0000000000000000000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4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7"/>
      <name val="Calibri"/>
      <family val="2"/>
    </font>
    <font>
      <u val="single"/>
      <sz val="10"/>
      <color indexed="20"/>
      <name val="Arial"/>
      <family val="2"/>
    </font>
    <font>
      <i/>
      <sz val="10"/>
      <name val="Arial"/>
      <family val="2"/>
    </font>
    <font>
      <b/>
      <vertAlign val="superscript"/>
      <sz val="10"/>
      <name val="Arabic Typesetting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 quotePrefix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 quotePrefix="1">
      <alignment horizontal="left"/>
    </xf>
    <xf numFmtId="165" fontId="0" fillId="0" borderId="0" xfId="0" applyNumberFormat="1" applyAlignment="1" quotePrefix="1">
      <alignment horizontal="left"/>
    </xf>
    <xf numFmtId="165" fontId="2" fillId="0" borderId="0" xfId="0" applyNumberFormat="1" applyFont="1" applyAlignment="1">
      <alignment/>
    </xf>
    <xf numFmtId="168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 quotePrefix="1">
      <alignment horizontal="left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9" fillId="32" borderId="4" xfId="60" applyFont="1" applyBorder="1" applyAlignment="1">
      <alignment horizontal="center" vertical="center"/>
    </xf>
    <xf numFmtId="165" fontId="0" fillId="0" borderId="0" xfId="0" applyNumberFormat="1" applyFont="1" applyAlignment="1" quotePrefix="1">
      <alignment horizontal="left"/>
    </xf>
    <xf numFmtId="165" fontId="0" fillId="0" borderId="0" xfId="0" applyNumberFormat="1" applyFont="1" applyAlignment="1">
      <alignment/>
    </xf>
    <xf numFmtId="0" fontId="28" fillId="0" borderId="0" xfId="0" applyFont="1" applyAlignment="1" quotePrefix="1">
      <alignment horizontal="left"/>
    </xf>
    <xf numFmtId="0" fontId="0" fillId="0" borderId="0" xfId="0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 quotePrefix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 vertical="center" textRotation="90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35" borderId="22" xfId="0" applyFill="1" applyBorder="1" applyAlignment="1" applyProtection="1">
      <alignment horizontal="center"/>
      <protection locked="0"/>
    </xf>
    <xf numFmtId="1" fontId="0" fillId="33" borderId="22" xfId="0" applyNumberForma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0" fontId="2" fillId="35" borderId="22" xfId="0" applyFont="1" applyFill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center"/>
      <protection locked="0"/>
    </xf>
    <xf numFmtId="0" fontId="2" fillId="33" borderId="23" xfId="0" applyFont="1" applyFill="1" applyBorder="1" applyAlignment="1" applyProtection="1" quotePrefix="1">
      <alignment horizontal="center"/>
      <protection locked="0"/>
    </xf>
    <xf numFmtId="0" fontId="2" fillId="34" borderId="24" xfId="0" applyFont="1" applyFill="1" applyBorder="1" applyAlignment="1" applyProtection="1">
      <alignment horizontal="center" vertical="center" textRotation="90"/>
      <protection locked="0"/>
    </xf>
    <xf numFmtId="1" fontId="0" fillId="34" borderId="22" xfId="0" applyNumberFormat="1" applyFill="1" applyBorder="1" applyAlignment="1" applyProtection="1">
      <alignment horizontal="center"/>
      <protection locked="0"/>
    </xf>
    <xf numFmtId="0" fontId="2" fillId="34" borderId="22" xfId="0" applyFont="1" applyFill="1" applyBorder="1" applyAlignment="1" applyProtection="1">
      <alignment horizontal="center"/>
      <protection locked="0"/>
    </xf>
    <xf numFmtId="165" fontId="0" fillId="36" borderId="22" xfId="0" applyNumberFormat="1" applyFill="1" applyBorder="1" applyAlignment="1" applyProtection="1">
      <alignment horizontal="center"/>
      <protection locked="0"/>
    </xf>
    <xf numFmtId="165" fontId="0" fillId="0" borderId="22" xfId="0" applyNumberFormat="1" applyBorder="1" applyAlignment="1" applyProtection="1">
      <alignment horizontal="center"/>
      <protection locked="0"/>
    </xf>
    <xf numFmtId="165" fontId="0" fillId="0" borderId="23" xfId="0" applyNumberFormat="1" applyFill="1" applyBorder="1" applyAlignment="1" applyProtection="1">
      <alignment horizontal="center"/>
      <protection locked="0"/>
    </xf>
    <xf numFmtId="0" fontId="2" fillId="34" borderId="25" xfId="0" applyFont="1" applyFill="1" applyBorder="1" applyAlignment="1" applyProtection="1">
      <alignment horizontal="center" vertical="center" textRotation="90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165" fontId="0" fillId="36" borderId="23" xfId="0" applyNumberFormat="1" applyFont="1" applyFill="1" applyBorder="1" applyAlignment="1" applyProtection="1">
      <alignment horizontal="center"/>
      <protection locked="0"/>
    </xf>
    <xf numFmtId="165" fontId="0" fillId="0" borderId="22" xfId="0" applyNumberFormat="1" applyFill="1" applyBorder="1" applyAlignment="1" applyProtection="1">
      <alignment horizontal="center"/>
      <protection locked="0"/>
    </xf>
    <xf numFmtId="165" fontId="0" fillId="0" borderId="23" xfId="0" applyNumberFormat="1" applyBorder="1" applyAlignment="1" applyProtection="1">
      <alignment horizontal="center"/>
      <protection locked="0"/>
    </xf>
    <xf numFmtId="165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 vertical="center" textRotation="90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 quotePrefix="1">
      <alignment horizontal="center"/>
      <protection locked="0"/>
    </xf>
    <xf numFmtId="165" fontId="0" fillId="0" borderId="27" xfId="0" applyNumberFormat="1" applyBorder="1" applyAlignment="1" applyProtection="1">
      <alignment horizontal="center"/>
      <protection locked="0"/>
    </xf>
    <xf numFmtId="165" fontId="0" fillId="36" borderId="27" xfId="0" applyNumberFormat="1" applyFill="1" applyBorder="1" applyAlignment="1" applyProtection="1">
      <alignment horizontal="center"/>
      <protection locked="0"/>
    </xf>
    <xf numFmtId="165" fontId="0" fillId="36" borderId="28" xfId="0" applyNumberFormat="1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166" fontId="0" fillId="36" borderId="22" xfId="0" applyNumberFormat="1" applyFill="1" applyBorder="1" applyAlignment="1" applyProtection="1">
      <alignment horizontal="center"/>
      <protection locked="0"/>
    </xf>
    <xf numFmtId="166" fontId="0" fillId="0" borderId="22" xfId="0" applyNumberFormat="1" applyBorder="1" applyAlignment="1" applyProtection="1">
      <alignment horizontal="center"/>
      <protection locked="0"/>
    </xf>
    <xf numFmtId="166" fontId="0" fillId="0" borderId="23" xfId="0" applyNumberFormat="1" applyBorder="1" applyAlignment="1" applyProtection="1">
      <alignment horizontal="center"/>
      <protection locked="0"/>
    </xf>
    <xf numFmtId="166" fontId="0" fillId="36" borderId="23" xfId="0" applyNumberFormat="1" applyFont="1" applyFill="1" applyBorder="1" applyAlignment="1" applyProtection="1">
      <alignment horizontal="center"/>
      <protection locked="0"/>
    </xf>
    <xf numFmtId="166" fontId="0" fillId="0" borderId="22" xfId="0" applyNumberFormat="1" applyFill="1" applyBorder="1" applyAlignment="1" applyProtection="1">
      <alignment horizontal="center"/>
      <protection locked="0"/>
    </xf>
    <xf numFmtId="166" fontId="0" fillId="0" borderId="23" xfId="0" applyNumberFormat="1" applyFont="1" applyFill="1" applyBorder="1" applyAlignment="1" applyProtection="1">
      <alignment horizontal="center"/>
      <protection locked="0"/>
    </xf>
    <xf numFmtId="166" fontId="0" fillId="0" borderId="27" xfId="0" applyNumberFormat="1" applyBorder="1" applyAlignment="1" applyProtection="1">
      <alignment horizontal="center"/>
      <protection locked="0"/>
    </xf>
    <xf numFmtId="166" fontId="0" fillId="36" borderId="27" xfId="0" applyNumberFormat="1" applyFont="1" applyFill="1" applyBorder="1" applyAlignment="1" applyProtection="1">
      <alignment horizontal="center"/>
      <protection locked="0"/>
    </xf>
    <xf numFmtId="166" fontId="0" fillId="36" borderId="28" xfId="0" applyNumberFormat="1" applyFill="1" applyBorder="1" applyAlignment="1" applyProtection="1">
      <alignment horizontal="center"/>
      <protection locked="0"/>
    </xf>
    <xf numFmtId="165" fontId="0" fillId="37" borderId="22" xfId="0" applyNumberFormat="1" applyFill="1" applyBorder="1" applyAlignment="1" applyProtection="1">
      <alignment horizontal="center"/>
      <protection locked="0"/>
    </xf>
    <xf numFmtId="168" fontId="0" fillId="36" borderId="28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2" fillId="33" borderId="31" xfId="0" applyFont="1" applyFill="1" applyBorder="1" applyAlignment="1" applyProtection="1">
      <alignment horizontal="center"/>
      <protection locked="0"/>
    </xf>
    <xf numFmtId="0" fontId="2" fillId="33" borderId="23" xfId="0" applyFont="1" applyFill="1" applyBorder="1" applyAlignment="1" applyProtection="1">
      <alignment horizontal="center"/>
      <protection locked="0"/>
    </xf>
    <xf numFmtId="1" fontId="0" fillId="34" borderId="21" xfId="0" applyNumberFormat="1" applyFill="1" applyBorder="1" applyAlignment="1" applyProtection="1">
      <alignment horizontal="center"/>
      <protection locked="0"/>
    </xf>
    <xf numFmtId="0" fontId="2" fillId="34" borderId="23" xfId="0" applyFont="1" applyFill="1" applyBorder="1" applyAlignment="1" applyProtection="1">
      <alignment horizontal="center"/>
      <protection locked="0"/>
    </xf>
    <xf numFmtId="165" fontId="0" fillId="36" borderId="31" xfId="0" applyNumberFormat="1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165" fontId="0" fillId="0" borderId="31" xfId="0" applyNumberFormat="1" applyBorder="1" applyAlignment="1" applyProtection="1">
      <alignment horizontal="center"/>
      <protection locked="0"/>
    </xf>
    <xf numFmtId="168" fontId="0" fillId="36" borderId="32" xfId="0" applyNumberFormat="1" applyFill="1" applyBorder="1" applyAlignment="1" applyProtection="1">
      <alignment horizontal="center"/>
      <protection locked="0"/>
    </xf>
    <xf numFmtId="165" fontId="0" fillId="36" borderId="23" xfId="0" applyNumberFormat="1" applyFill="1" applyBorder="1" applyAlignment="1" applyProtection="1">
      <alignment horizontal="center"/>
      <protection locked="0"/>
    </xf>
    <xf numFmtId="0" fontId="2" fillId="34" borderId="33" xfId="0" applyFont="1" applyFill="1" applyBorder="1" applyAlignment="1" applyProtection="1" quotePrefix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 quotePrefix="1">
      <alignment horizontal="center"/>
      <protection locked="0"/>
    </xf>
    <xf numFmtId="168" fontId="0" fillId="36" borderId="23" xfId="0" applyNumberFormat="1" applyFont="1" applyFill="1" applyBorder="1" applyAlignment="1" applyProtection="1">
      <alignment horizontal="center"/>
      <protection locked="0"/>
    </xf>
    <xf numFmtId="166" fontId="0" fillId="0" borderId="22" xfId="0" applyNumberFormat="1" applyFont="1" applyFill="1" applyBorder="1" applyAlignment="1" applyProtection="1">
      <alignment horizontal="center"/>
      <protection locked="0"/>
    </xf>
    <xf numFmtId="0" fontId="2" fillId="34" borderId="35" xfId="0" applyFont="1" applyFill="1" applyBorder="1" applyAlignment="1" applyProtection="1" quotePrefix="1">
      <alignment horizontal="center"/>
      <protection locked="0"/>
    </xf>
    <xf numFmtId="166" fontId="0" fillId="0" borderId="35" xfId="0" applyNumberFormat="1" applyBorder="1" applyAlignment="1" applyProtection="1">
      <alignment horizontal="center"/>
      <protection locked="0"/>
    </xf>
    <xf numFmtId="168" fontId="0" fillId="36" borderId="35" xfId="0" applyNumberFormat="1" applyFill="1" applyBorder="1" applyAlignment="1" applyProtection="1">
      <alignment horizontal="center"/>
      <protection locked="0"/>
    </xf>
    <xf numFmtId="165" fontId="0" fillId="0" borderId="22" xfId="0" applyNumberFormat="1" applyFont="1" applyFill="1" applyBorder="1" applyAlignment="1" applyProtection="1">
      <alignment horizontal="center"/>
      <protection locked="0"/>
    </xf>
    <xf numFmtId="165" fontId="0" fillId="0" borderId="35" xfId="0" applyNumberFormat="1" applyBorder="1" applyAlignment="1" applyProtection="1">
      <alignment horizontal="center"/>
      <protection locked="0"/>
    </xf>
    <xf numFmtId="168" fontId="0" fillId="37" borderId="22" xfId="0" applyNumberFormat="1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2" fillId="34" borderId="35" xfId="0" applyFont="1" applyFill="1" applyBorder="1" applyAlignment="1" applyProtection="1">
      <alignment horizontal="center"/>
      <protection locked="0"/>
    </xf>
    <xf numFmtId="168" fontId="0" fillId="37" borderId="35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2047875</xdr:colOff>
      <xdr:row>74</xdr:row>
      <xdr:rowOff>0</xdr:rowOff>
    </xdr:from>
    <xdr:to>
      <xdr:col>12</xdr:col>
      <xdr:colOff>400050</xdr:colOff>
      <xdr:row>74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10458450" y="1232535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19050</xdr:colOff>
      <xdr:row>20</xdr:row>
      <xdr:rowOff>9525</xdr:rowOff>
    </xdr:from>
    <xdr:to>
      <xdr:col>11</xdr:col>
      <xdr:colOff>723900</xdr:colOff>
      <xdr:row>48</xdr:row>
      <xdr:rowOff>19050</xdr:rowOff>
    </xdr:to>
    <xdr:sp>
      <xdr:nvSpPr>
        <xdr:cNvPr id="2" name="Text Box 119"/>
        <xdr:cNvSpPr txBox="1">
          <a:spLocks noChangeArrowheads="1"/>
        </xdr:cNvSpPr>
      </xdr:nvSpPr>
      <xdr:spPr>
        <a:xfrm>
          <a:off x="8429625" y="3533775"/>
          <a:ext cx="3657600" cy="4572000"/>
        </a:xfrm>
        <a:prstGeom prst="rect">
          <a:avLst/>
        </a:prstGeom>
        <a:solidFill>
          <a:srgbClr val="DCE6F2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08000" tIns="118800" rIns="126000" bIns="118800" anchor="ctr"/>
        <a:p>
          <a:pPr algn="just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IngEnergia.it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foglio di calcolo contiene numerose funzioni utili al calcolo delle grandezze psicrometriche.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maggior parte delle funzioni è testata e funzionante, alcune sono da perfezionare, così come evidenziato dalla legenda sopra riportata.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 foglio è stato realizzato dall'ing. Ferdinando Battillocchi e concesso gratuitamente a IngEnergia che lo propone con  finalità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esclusivamente didattiche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come ausilio per la comprensione delle lezioni dei corsi di Fisica Tecnica Ambientale presso la Facoltà di Architettura  dell'Università "La Sapienza" di Roma.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Ogni utilizzo diverso non è autorizzato.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Chiunque ritenesse, a seguito dell'utilizzo, di poter fornire suggerimenti per un miglioramento del foglio è pregato di contattare l'ing. Francesco Mancini all'indirizzo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francesco.mancini@ingenergia.it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far funzionare le macro è necessario impostare il livello di protezione macro su medio o su basso (Strumenti - Opzioni - Protezione - Protezione macro), chiudere il file salvando le modifiche e successivamente attiva macro all'apertura del file.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energia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L74"/>
  <sheetViews>
    <sheetView tabSelected="1" view="pageBreakPreview" zoomScale="85" zoomScaleSheetLayoutView="85" zoomScalePageLayoutView="0" workbookViewId="0" topLeftCell="A1">
      <selection activeCell="K1" sqref="K1:L2"/>
    </sheetView>
  </sheetViews>
  <sheetFormatPr defaultColWidth="9.140625" defaultRowHeight="12.75"/>
  <cols>
    <col min="1" max="1" width="4.421875" style="2" customWidth="1"/>
    <col min="2" max="2" width="9.28125" style="2" bestFit="1" customWidth="1"/>
    <col min="3" max="3" width="22.28125" style="2" bestFit="1" customWidth="1"/>
    <col min="4" max="4" width="10.7109375" style="2" bestFit="1" customWidth="1"/>
    <col min="5" max="5" width="15.28125" style="2" customWidth="1"/>
    <col min="6" max="6" width="23.57421875" style="2" customWidth="1"/>
    <col min="7" max="7" width="14.8515625" style="2" bestFit="1" customWidth="1"/>
    <col min="8" max="8" width="12.28125" style="2" bestFit="1" customWidth="1"/>
    <col min="9" max="9" width="10.8515625" style="2" customWidth="1"/>
    <col min="10" max="10" width="2.57421875" style="2" customWidth="1"/>
    <col min="11" max="11" width="44.28125" style="2" customWidth="1"/>
    <col min="12" max="12" width="12.7109375" style="2" customWidth="1"/>
    <col min="13" max="16384" width="9.140625" style="2" customWidth="1"/>
  </cols>
  <sheetData>
    <row r="1" spans="1:12" ht="27" customHeight="1">
      <c r="A1" s="25"/>
      <c r="B1" s="25"/>
      <c r="C1" s="26" t="s">
        <v>40</v>
      </c>
      <c r="D1" s="27"/>
      <c r="E1" s="27"/>
      <c r="F1" s="27"/>
      <c r="G1" s="27"/>
      <c r="H1" s="27"/>
      <c r="I1" s="28"/>
      <c r="K1" s="21" t="s">
        <v>42</v>
      </c>
      <c r="L1" s="21"/>
    </row>
    <row r="2" spans="1:12" ht="15.75" customHeight="1">
      <c r="A2" s="25"/>
      <c r="B2" s="25"/>
      <c r="C2" s="26" t="s">
        <v>31</v>
      </c>
      <c r="D2" s="27"/>
      <c r="E2" s="27"/>
      <c r="F2" s="27"/>
      <c r="G2" s="27"/>
      <c r="H2" s="27"/>
      <c r="I2" s="28"/>
      <c r="K2" s="21"/>
      <c r="L2" s="21"/>
    </row>
    <row r="3" spans="1:9" ht="12.75">
      <c r="A3" s="25"/>
      <c r="B3" s="25"/>
      <c r="C3" s="29" t="s">
        <v>0</v>
      </c>
      <c r="D3" s="29" t="s">
        <v>1</v>
      </c>
      <c r="E3" s="29" t="s">
        <v>2</v>
      </c>
      <c r="F3" s="29" t="s">
        <v>3</v>
      </c>
      <c r="G3" s="29" t="s">
        <v>4</v>
      </c>
      <c r="H3" s="29" t="s">
        <v>5</v>
      </c>
      <c r="I3" s="29" t="s">
        <v>30</v>
      </c>
    </row>
    <row r="4" spans="1:9" ht="12.75">
      <c r="A4" s="25"/>
      <c r="B4" s="25"/>
      <c r="C4" s="30">
        <v>26</v>
      </c>
      <c r="D4" s="30">
        <v>50</v>
      </c>
      <c r="E4" s="30">
        <f>x_ur_t(D4,C4)</f>
        <v>0.01049638791515281</v>
      </c>
      <c r="F4" s="30">
        <f>h_t_x(C4,E4)</f>
        <v>52.900061660655304</v>
      </c>
      <c r="G4" s="30">
        <f>tbu_t_ur(C4,D4)</f>
        <v>18.71081735103256</v>
      </c>
      <c r="H4" s="30">
        <f>vau_t_x(C4,E4)</f>
        <v>0.8617979125208229</v>
      </c>
      <c r="I4" s="30">
        <f>tr_x(E4)</f>
        <v>14.781220420610396</v>
      </c>
    </row>
    <row r="5" spans="1:12" ht="13.5" thickBot="1">
      <c r="A5" s="25"/>
      <c r="B5" s="25"/>
      <c r="C5" s="25"/>
      <c r="D5" s="25"/>
      <c r="E5" s="25"/>
      <c r="F5" s="25"/>
      <c r="G5" s="25"/>
      <c r="H5" s="25"/>
      <c r="I5" s="25"/>
      <c r="K5" s="20" t="s">
        <v>15</v>
      </c>
      <c r="L5" s="20"/>
    </row>
    <row r="6" spans="1:12" ht="12.75">
      <c r="A6" s="31"/>
      <c r="B6" s="32"/>
      <c r="C6" s="33"/>
      <c r="D6" s="34" t="s">
        <v>8</v>
      </c>
      <c r="E6" s="35"/>
      <c r="F6" s="35"/>
      <c r="G6" s="35"/>
      <c r="H6" s="35"/>
      <c r="I6" s="36"/>
      <c r="K6" s="15" t="s">
        <v>11</v>
      </c>
      <c r="L6" s="15"/>
    </row>
    <row r="7" spans="1:12" ht="12.75" customHeight="1">
      <c r="A7" s="37"/>
      <c r="B7" s="38"/>
      <c r="C7" s="39">
        <f>T</f>
        <v>26</v>
      </c>
      <c r="D7" s="40">
        <f>UR</f>
        <v>50</v>
      </c>
      <c r="E7" s="41">
        <f>X</f>
        <v>0.01049638791515281</v>
      </c>
      <c r="F7" s="41">
        <f>H</f>
        <v>52.900061660655304</v>
      </c>
      <c r="G7" s="41">
        <f>TBU</f>
        <v>18.71081735103256</v>
      </c>
      <c r="H7" s="41">
        <f>VAU</f>
        <v>0.8617979125208229</v>
      </c>
      <c r="I7" s="42">
        <f>TR</f>
        <v>14.781220420610396</v>
      </c>
      <c r="K7" s="16" t="s">
        <v>12</v>
      </c>
      <c r="L7" s="16"/>
    </row>
    <row r="8" spans="1:12" ht="12.75">
      <c r="A8" s="37"/>
      <c r="B8" s="43"/>
      <c r="C8" s="44" t="s">
        <v>0</v>
      </c>
      <c r="D8" s="45" t="s">
        <v>1</v>
      </c>
      <c r="E8" s="45" t="s">
        <v>2</v>
      </c>
      <c r="F8" s="45" t="s">
        <v>3</v>
      </c>
      <c r="G8" s="45" t="s">
        <v>4</v>
      </c>
      <c r="H8" s="45" t="s">
        <v>5</v>
      </c>
      <c r="I8" s="46" t="s">
        <v>10</v>
      </c>
      <c r="K8" s="17" t="s">
        <v>13</v>
      </c>
      <c r="L8" s="17"/>
    </row>
    <row r="9" spans="1:12" ht="12.75">
      <c r="A9" s="47" t="s">
        <v>9</v>
      </c>
      <c r="B9" s="48">
        <f>UR</f>
        <v>50</v>
      </c>
      <c r="C9" s="49" t="s">
        <v>1</v>
      </c>
      <c r="D9" s="50" t="s">
        <v>7</v>
      </c>
      <c r="E9" s="51">
        <f>t_x_ur(E7,B9)</f>
        <v>26.000000000000057</v>
      </c>
      <c r="F9" s="51">
        <f>t_h_ur(F7,B9)</f>
        <v>26.00000000000004</v>
      </c>
      <c r="G9" s="51">
        <f>t_tbu_ur(G7,B9)</f>
        <v>26.00000000000004</v>
      </c>
      <c r="H9" s="51">
        <f>t_vau_ur(H7,B9)</f>
        <v>26.000000000000014</v>
      </c>
      <c r="I9" s="52">
        <f>t_tr_ur(I7,B9)</f>
        <v>26.000000000000114</v>
      </c>
      <c r="J9" s="4"/>
      <c r="K9" s="18" t="s">
        <v>14</v>
      </c>
      <c r="L9" s="18"/>
    </row>
    <row r="10" spans="1:12" ht="12.75">
      <c r="A10" s="53"/>
      <c r="B10" s="54">
        <f>X</f>
        <v>0.01049638791515281</v>
      </c>
      <c r="C10" s="49" t="s">
        <v>2</v>
      </c>
      <c r="D10" s="51">
        <f>t_ur_x(D7,B10)</f>
        <v>26.000000000000057</v>
      </c>
      <c r="E10" s="50" t="s">
        <v>7</v>
      </c>
      <c r="F10" s="51">
        <f>t_h_x(F7,B10)</f>
        <v>26.000000000000004</v>
      </c>
      <c r="G10" s="51">
        <f>t_tbu_x(G7,B10)</f>
        <v>25.999999999999996</v>
      </c>
      <c r="H10" s="51">
        <f>t_vau_x(H7,B10)</f>
        <v>26.000000000000007</v>
      </c>
      <c r="I10" s="55" t="s">
        <v>7</v>
      </c>
      <c r="J10" s="5"/>
      <c r="K10" s="19" t="s">
        <v>41</v>
      </c>
      <c r="L10" s="19"/>
    </row>
    <row r="11" spans="1:10" ht="12.75">
      <c r="A11" s="53"/>
      <c r="B11" s="54">
        <f>H</f>
        <v>52.900061660655304</v>
      </c>
      <c r="C11" s="49" t="s">
        <v>3</v>
      </c>
      <c r="D11" s="51">
        <f>t_ur_h(D7,B11)</f>
        <v>26.00000000000004</v>
      </c>
      <c r="E11" s="51">
        <f>t_x_h(E7,B11)</f>
        <v>26.000000000000004</v>
      </c>
      <c r="F11" s="50" t="s">
        <v>7</v>
      </c>
      <c r="G11" s="56">
        <f>t_tbu_h(G7,B11)</f>
        <v>25.99999999999965</v>
      </c>
      <c r="H11" s="51">
        <f>t_vau_h(H7,B11)</f>
        <v>25.9999999999994</v>
      </c>
      <c r="I11" s="57">
        <f>t_tr_h(I7,B11)</f>
        <v>25.999999999999954</v>
      </c>
      <c r="J11" s="1"/>
    </row>
    <row r="12" spans="1:12" ht="12.75">
      <c r="A12" s="53"/>
      <c r="B12" s="54">
        <f>TBU</f>
        <v>18.71081735103256</v>
      </c>
      <c r="C12" s="49" t="s">
        <v>4</v>
      </c>
      <c r="D12" s="51">
        <f>t_ur_tbu(D7,B12)</f>
        <v>26.00000000000004</v>
      </c>
      <c r="E12" s="51">
        <f>t_x_tbu(E7,B12)</f>
        <v>25.999999999999996</v>
      </c>
      <c r="F12" s="56">
        <f>t_h_tbu(F7,B12)</f>
        <v>25.99999999999965</v>
      </c>
      <c r="G12" s="50" t="s">
        <v>7</v>
      </c>
      <c r="H12" s="51">
        <f>t_vau_tbu(H7,B12)</f>
        <v>26.000000000000156</v>
      </c>
      <c r="I12" s="57">
        <f>t_tr_tbu(I7,B12)</f>
        <v>25.99999999999995</v>
      </c>
      <c r="J12" s="1"/>
      <c r="K12" s="12" t="s">
        <v>23</v>
      </c>
      <c r="L12" s="13" t="s">
        <v>19</v>
      </c>
    </row>
    <row r="13" spans="1:12" ht="12.75">
      <c r="A13" s="53"/>
      <c r="B13" s="54">
        <f>VAU</f>
        <v>0.8617979125208229</v>
      </c>
      <c r="C13" s="49" t="s">
        <v>5</v>
      </c>
      <c r="D13" s="56">
        <f>t_ur_vau(D7,B13)</f>
        <v>26.000000000000014</v>
      </c>
      <c r="E13" s="51">
        <f>t_x_vau(E7,B13)</f>
        <v>26.000000000000007</v>
      </c>
      <c r="F13" s="51">
        <f>t_h_vau(F7,B13)</f>
        <v>25.9999999999994</v>
      </c>
      <c r="G13" s="51">
        <f>t_tbu_vau(G7,B13)</f>
        <v>26.000000000000156</v>
      </c>
      <c r="H13" s="50" t="s">
        <v>7</v>
      </c>
      <c r="I13" s="58">
        <f>t_tr_vau(I7,B13)</f>
        <v>26</v>
      </c>
      <c r="J13" s="1"/>
      <c r="K13" s="14" t="s">
        <v>39</v>
      </c>
      <c r="L13" s="13" t="s">
        <v>16</v>
      </c>
    </row>
    <row r="14" spans="1:12" ht="13.5" thickBot="1">
      <c r="A14" s="59"/>
      <c r="B14" s="60">
        <f>TR</f>
        <v>14.781220420610396</v>
      </c>
      <c r="C14" s="61" t="s">
        <v>10</v>
      </c>
      <c r="D14" s="62">
        <f>t_ur_tr(D7,B14)</f>
        <v>26.000000000000114</v>
      </c>
      <c r="E14" s="63" t="s">
        <v>7</v>
      </c>
      <c r="F14" s="62">
        <f>t_h_tr(F7,B14)</f>
        <v>25.999999999999954</v>
      </c>
      <c r="G14" s="62">
        <f>t_tbu_tr(G7,B14)</f>
        <v>25.99999999999995</v>
      </c>
      <c r="H14" s="62">
        <f>t_vau_tr(H7,B14)</f>
        <v>26</v>
      </c>
      <c r="I14" s="64" t="s">
        <v>7</v>
      </c>
      <c r="J14" s="1"/>
      <c r="K14" s="14" t="s">
        <v>38</v>
      </c>
      <c r="L14" s="13" t="s">
        <v>17</v>
      </c>
    </row>
    <row r="15" spans="1:12" ht="12.75">
      <c r="A15" s="31"/>
      <c r="B15" s="32"/>
      <c r="C15" s="65" t="s">
        <v>32</v>
      </c>
      <c r="D15" s="66" t="s">
        <v>8</v>
      </c>
      <c r="E15" s="35"/>
      <c r="F15" s="35"/>
      <c r="G15" s="35"/>
      <c r="H15" s="35"/>
      <c r="I15" s="36"/>
      <c r="J15" s="1"/>
      <c r="K15" s="14" t="s">
        <v>37</v>
      </c>
      <c r="L15" s="13" t="s">
        <v>43</v>
      </c>
    </row>
    <row r="16" spans="1:12" ht="12.75" customHeight="1">
      <c r="A16" s="37"/>
      <c r="B16" s="38"/>
      <c r="C16" s="44">
        <f>UR</f>
        <v>50</v>
      </c>
      <c r="D16" s="40">
        <f>T</f>
        <v>26</v>
      </c>
      <c r="E16" s="41">
        <f>X</f>
        <v>0.01049638791515281</v>
      </c>
      <c r="F16" s="41">
        <f>H</f>
        <v>52.900061660655304</v>
      </c>
      <c r="G16" s="41">
        <f>TBU</f>
        <v>18.71081735103256</v>
      </c>
      <c r="H16" s="41">
        <f>VAU</f>
        <v>0.8617979125208229</v>
      </c>
      <c r="I16" s="42">
        <f>TR</f>
        <v>14.781220420610396</v>
      </c>
      <c r="J16" s="1"/>
      <c r="K16" s="14" t="s">
        <v>36</v>
      </c>
      <c r="L16" s="13" t="s">
        <v>44</v>
      </c>
    </row>
    <row r="17" spans="1:12" ht="12.75">
      <c r="A17" s="37"/>
      <c r="B17" s="38"/>
      <c r="C17" s="44" t="s">
        <v>1</v>
      </c>
      <c r="D17" s="45" t="s">
        <v>0</v>
      </c>
      <c r="E17" s="45" t="s">
        <v>2</v>
      </c>
      <c r="F17" s="45" t="s">
        <v>3</v>
      </c>
      <c r="G17" s="45" t="s">
        <v>4</v>
      </c>
      <c r="H17" s="45" t="s">
        <v>5</v>
      </c>
      <c r="I17" s="46" t="s">
        <v>10</v>
      </c>
      <c r="J17" s="1"/>
      <c r="K17" s="14" t="s">
        <v>35</v>
      </c>
      <c r="L17" s="13" t="s">
        <v>16</v>
      </c>
    </row>
    <row r="18" spans="1:12" ht="16.5">
      <c r="A18" s="47" t="s">
        <v>9</v>
      </c>
      <c r="B18" s="48">
        <f>T</f>
        <v>26</v>
      </c>
      <c r="C18" s="49" t="s">
        <v>6</v>
      </c>
      <c r="D18" s="67" t="s">
        <v>7</v>
      </c>
      <c r="E18" s="68">
        <f>UR_X_T(E16,B18)</f>
        <v>50</v>
      </c>
      <c r="F18" s="68">
        <f>ur_h_t(F16,B18)</f>
        <v>50.00000000000001</v>
      </c>
      <c r="G18" s="68">
        <f>ur_tbu_t(G16,B18)</f>
        <v>49.99999999999998</v>
      </c>
      <c r="H18" s="68">
        <f>ur_vau_t(H16,B18)</f>
        <v>50.00000000000009</v>
      </c>
      <c r="I18" s="69">
        <f>ur_tr_t(I16,B18)</f>
        <v>50.00000000000009</v>
      </c>
      <c r="J18" s="1"/>
      <c r="K18" s="14" t="s">
        <v>33</v>
      </c>
      <c r="L18" s="13" t="s">
        <v>49</v>
      </c>
    </row>
    <row r="19" spans="1:12" ht="12.75">
      <c r="A19" s="53"/>
      <c r="B19" s="54">
        <f>X</f>
        <v>0.01049638791515281</v>
      </c>
      <c r="C19" s="49" t="s">
        <v>2</v>
      </c>
      <c r="D19" s="68">
        <f>UR_T_X(D16,B19)</f>
        <v>50</v>
      </c>
      <c r="E19" s="67" t="s">
        <v>7</v>
      </c>
      <c r="F19" s="68">
        <f>UR_h_x(F16,B19)</f>
        <v>50</v>
      </c>
      <c r="G19" s="68">
        <f>UR_TBU_X(G16,B19)</f>
        <v>50</v>
      </c>
      <c r="H19" s="68">
        <f>UR_VAU_X(H16,B19)</f>
        <v>50</v>
      </c>
      <c r="I19" s="70" t="s">
        <v>7</v>
      </c>
      <c r="J19" s="1"/>
      <c r="K19" s="14" t="s">
        <v>34</v>
      </c>
      <c r="L19" s="13" t="s">
        <v>16</v>
      </c>
    </row>
    <row r="20" spans="1:10" ht="12.75">
      <c r="A20" s="53"/>
      <c r="B20" s="54">
        <f>H</f>
        <v>52.900061660655304</v>
      </c>
      <c r="C20" s="49" t="s">
        <v>3</v>
      </c>
      <c r="D20" s="68">
        <f>UR_T_H(D16,B20)</f>
        <v>50.00000000000001</v>
      </c>
      <c r="E20" s="68">
        <f>UR_X_H(E16,B20)</f>
        <v>50</v>
      </c>
      <c r="F20" s="67" t="s">
        <v>7</v>
      </c>
      <c r="G20" s="71">
        <f>UR_TBU_H(G16,B20)</f>
        <v>50.00000000000209</v>
      </c>
      <c r="H20" s="68">
        <f>UR_VAU_H(H16,B20)</f>
        <v>50.00000000000309</v>
      </c>
      <c r="I20" s="69">
        <f>ur_tr_h(I16,B20)</f>
        <v>50.00000000000044</v>
      </c>
      <c r="J20" s="1"/>
    </row>
    <row r="21" spans="1:10" ht="12.75">
      <c r="A21" s="53"/>
      <c r="B21" s="54">
        <f>TBU</f>
        <v>18.71081735103256</v>
      </c>
      <c r="C21" s="49" t="s">
        <v>4</v>
      </c>
      <c r="D21" s="68">
        <f>UR_T_TBU(D16,B21)</f>
        <v>49.99999999999998</v>
      </c>
      <c r="E21" s="68">
        <f>UR_X_TBU(E16,B21)</f>
        <v>50</v>
      </c>
      <c r="F21" s="71">
        <f>UR_H_TBU(F16,B21)</f>
        <v>50.00000000000209</v>
      </c>
      <c r="G21" s="67" t="s">
        <v>7</v>
      </c>
      <c r="H21" s="68">
        <f>UR_VAU_TBU(H16,B21)</f>
        <v>49.99999999999836</v>
      </c>
      <c r="I21" s="69">
        <f>ur_tr_tbu(I16,B21)</f>
        <v>50.00000000000044</v>
      </c>
      <c r="J21" s="1"/>
    </row>
    <row r="22" spans="1:10" ht="12.75">
      <c r="A22" s="53"/>
      <c r="B22" s="54">
        <f>VAU</f>
        <v>0.8617979125208229</v>
      </c>
      <c r="C22" s="49" t="s">
        <v>5</v>
      </c>
      <c r="D22" s="68">
        <f>UR_T_VAU(D16,B22)</f>
        <v>50.00000000000009</v>
      </c>
      <c r="E22" s="68">
        <f>UR_X_VAU(E16,B22)</f>
        <v>50</v>
      </c>
      <c r="F22" s="68">
        <f>UR_H_VAU(F16,B22)</f>
        <v>50.00000000000309</v>
      </c>
      <c r="G22" s="68">
        <f>UR_TBU_VAU(G16,B22)</f>
        <v>49.99999999999836</v>
      </c>
      <c r="H22" s="67" t="s">
        <v>7</v>
      </c>
      <c r="I22" s="72">
        <f>ur_tr_vau(I16,B22)</f>
        <v>50.00000000000009</v>
      </c>
      <c r="J22" s="1"/>
    </row>
    <row r="23" spans="1:10" ht="13.5" thickBot="1">
      <c r="A23" s="59"/>
      <c r="B23" s="60">
        <f>TR</f>
        <v>14.781220420610396</v>
      </c>
      <c r="C23" s="61" t="s">
        <v>10</v>
      </c>
      <c r="D23" s="73">
        <f>ur_t_tr(D16,B23)</f>
        <v>50.00000000000009</v>
      </c>
      <c r="E23" s="74" t="s">
        <v>7</v>
      </c>
      <c r="F23" s="73">
        <f>ur_h_tr(F16,B23)</f>
        <v>50.00000000000044</v>
      </c>
      <c r="G23" s="73">
        <f>ur_tbu_tr(G16,B23)</f>
        <v>50.00000000000044</v>
      </c>
      <c r="H23" s="73">
        <f>ur_vau_tr(H16,B23)</f>
        <v>50.00000000000009</v>
      </c>
      <c r="I23" s="75" t="s">
        <v>7</v>
      </c>
      <c r="J23" s="1"/>
    </row>
    <row r="24" spans="1:10" ht="12.75">
      <c r="A24" s="31"/>
      <c r="B24" s="32"/>
      <c r="C24" s="65" t="s">
        <v>32</v>
      </c>
      <c r="D24" s="66" t="s">
        <v>8</v>
      </c>
      <c r="E24" s="35"/>
      <c r="F24" s="35"/>
      <c r="G24" s="35"/>
      <c r="H24" s="35"/>
      <c r="I24" s="36"/>
      <c r="J24" s="1"/>
    </row>
    <row r="25" spans="1:10" ht="12.75" customHeight="1">
      <c r="A25" s="37"/>
      <c r="B25" s="38"/>
      <c r="C25" s="44">
        <f>X</f>
        <v>0.01049638791515281</v>
      </c>
      <c r="D25" s="40">
        <f>T</f>
        <v>26</v>
      </c>
      <c r="E25" s="41">
        <f>UR</f>
        <v>50</v>
      </c>
      <c r="F25" s="41">
        <f>H</f>
        <v>52.900061660655304</v>
      </c>
      <c r="G25" s="41">
        <f>TBU</f>
        <v>18.71081735103256</v>
      </c>
      <c r="H25" s="41">
        <f>VAU</f>
        <v>0.8617979125208229</v>
      </c>
      <c r="I25" s="42">
        <f>TR</f>
        <v>14.781220420610396</v>
      </c>
      <c r="J25" s="1"/>
    </row>
    <row r="26" spans="1:10" ht="12.75">
      <c r="A26" s="37"/>
      <c r="B26" s="38"/>
      <c r="C26" s="44" t="s">
        <v>2</v>
      </c>
      <c r="D26" s="45" t="s">
        <v>0</v>
      </c>
      <c r="E26" s="45" t="s">
        <v>1</v>
      </c>
      <c r="F26" s="45" t="s">
        <v>3</v>
      </c>
      <c r="G26" s="45" t="s">
        <v>4</v>
      </c>
      <c r="H26" s="45" t="s">
        <v>5</v>
      </c>
      <c r="I26" s="46" t="s">
        <v>10</v>
      </c>
      <c r="J26" s="1"/>
    </row>
    <row r="27" spans="1:9" ht="12.75">
      <c r="A27" s="47" t="s">
        <v>9</v>
      </c>
      <c r="B27" s="48">
        <f>T</f>
        <v>26</v>
      </c>
      <c r="C27" s="49" t="s">
        <v>6</v>
      </c>
      <c r="D27" s="50" t="s">
        <v>7</v>
      </c>
      <c r="E27" s="51">
        <f>x_ur_t(E25,B27)</f>
        <v>0.01049638791515281</v>
      </c>
      <c r="F27" s="51">
        <f>x_h_t(F25,B27)</f>
        <v>0.010496387915152812</v>
      </c>
      <c r="G27" s="51">
        <f>x_tbu_t(G25,B27)</f>
        <v>0.010496387915152805</v>
      </c>
      <c r="H27" s="51">
        <f>x_vau_t(H25,B27)</f>
        <v>0.01049638791515283</v>
      </c>
      <c r="I27" s="76">
        <f>x_tr_t(I25,B27)</f>
        <v>0.01049638791515283</v>
      </c>
    </row>
    <row r="28" spans="1:9" ht="12.75">
      <c r="A28" s="53"/>
      <c r="B28" s="54">
        <f>UR</f>
        <v>50</v>
      </c>
      <c r="C28" s="49" t="s">
        <v>1</v>
      </c>
      <c r="D28" s="51">
        <f>x_t_ur(D25,B28)</f>
        <v>0.01049638791515281</v>
      </c>
      <c r="E28" s="50" t="s">
        <v>7</v>
      </c>
      <c r="F28" s="51">
        <f>x_h_ur(F25,B28)</f>
        <v>0.010496387915152797</v>
      </c>
      <c r="G28" s="51">
        <f>x_tbu_ur(G25,B28)</f>
        <v>0.010496387915152812</v>
      </c>
      <c r="H28" s="51">
        <f>x_vau_ur(H25,B28)</f>
        <v>0.01049638791515281</v>
      </c>
      <c r="I28" s="76">
        <f>x_tr_ur(I25,B28)</f>
        <v>0.01049638791515283</v>
      </c>
    </row>
    <row r="29" spans="1:9" ht="12.75">
      <c r="A29" s="53"/>
      <c r="B29" s="54">
        <f>H</f>
        <v>52.900061660655304</v>
      </c>
      <c r="C29" s="49" t="s">
        <v>3</v>
      </c>
      <c r="D29" s="51">
        <f>x_t_h(D25,B29)</f>
        <v>0.010496387915152812</v>
      </c>
      <c r="E29" s="51">
        <f>x_ur_h(E25,B29)</f>
        <v>0.010496387915152797</v>
      </c>
      <c r="F29" s="50" t="s">
        <v>7</v>
      </c>
      <c r="G29" s="56">
        <f>x_tbu_h(G25,B29)</f>
        <v>0.010496387915152953</v>
      </c>
      <c r="H29" s="51">
        <f>x_vau_h(H25,B29)</f>
        <v>0.010496387915153053</v>
      </c>
      <c r="I29" s="76">
        <f>x_tr_h(I25,B29)</f>
        <v>0.01049638791515283</v>
      </c>
    </row>
    <row r="30" spans="1:9" ht="12.75">
      <c r="A30" s="53"/>
      <c r="B30" s="54">
        <f>TBU</f>
        <v>18.71081735103256</v>
      </c>
      <c r="C30" s="49" t="s">
        <v>4</v>
      </c>
      <c r="D30" s="51">
        <f>x_t_tbu(D25,B30)</f>
        <v>0.010496387915152805</v>
      </c>
      <c r="E30" s="51">
        <f>x_ur_tbu(E25,B30)</f>
        <v>0.010496387915152812</v>
      </c>
      <c r="F30" s="56">
        <f>x_h_tbu(F25,B30)</f>
        <v>0.010496387915152953</v>
      </c>
      <c r="G30" s="50" t="s">
        <v>7</v>
      </c>
      <c r="H30" s="51">
        <f>x_vau_tbu(H25,B30)</f>
        <v>0.010496387915152498</v>
      </c>
      <c r="I30" s="76">
        <f>x_tr_tbu(I25,B30)</f>
        <v>0.01049638791515283</v>
      </c>
    </row>
    <row r="31" spans="1:9" ht="12.75">
      <c r="A31" s="53"/>
      <c r="B31" s="54">
        <f>VAU</f>
        <v>0.8617979125208229</v>
      </c>
      <c r="C31" s="49" t="s">
        <v>5</v>
      </c>
      <c r="D31" s="76">
        <f>x_t_vau(D25,B31)</f>
        <v>0.01049638791515283</v>
      </c>
      <c r="E31" s="76">
        <f>x_ur_vau(E25,B31)</f>
        <v>0.01049638791515281</v>
      </c>
      <c r="F31" s="76">
        <f>x_h_vau(F25,B31)</f>
        <v>0.010496387915153053</v>
      </c>
      <c r="G31" s="76">
        <f>x_tbu_vau(G25,B31)</f>
        <v>0.010496387915152498</v>
      </c>
      <c r="H31" s="50" t="s">
        <v>7</v>
      </c>
      <c r="I31" s="76">
        <f>x_tr_vau(I25,B31)</f>
        <v>0.01049638791515283</v>
      </c>
    </row>
    <row r="32" spans="1:9" ht="13.5" thickBot="1">
      <c r="A32" s="59"/>
      <c r="B32" s="60">
        <f>TR</f>
        <v>14.781220420610396</v>
      </c>
      <c r="C32" s="61" t="s">
        <v>10</v>
      </c>
      <c r="D32" s="76">
        <f>x_t_tr(D25,B32)</f>
        <v>0.01049638791515283</v>
      </c>
      <c r="E32" s="76">
        <f>x_ur_tr(E25,B32)</f>
        <v>0.01049638791515283</v>
      </c>
      <c r="F32" s="76">
        <f>x_h_tr(F25,B32)</f>
        <v>0.01049638791515283</v>
      </c>
      <c r="G32" s="76">
        <f>x_tbu_tr(G25,B32)</f>
        <v>0.01049638791515283</v>
      </c>
      <c r="H32" s="76">
        <f>x_vau_tr(H25,B32)</f>
        <v>0.01049638791515283</v>
      </c>
      <c r="I32" s="77" t="s">
        <v>7</v>
      </c>
    </row>
    <row r="33" spans="1:9" ht="12.75">
      <c r="A33" s="78"/>
      <c r="B33" s="79"/>
      <c r="C33" s="65" t="s">
        <v>32</v>
      </c>
      <c r="D33" s="66" t="s">
        <v>8</v>
      </c>
      <c r="E33" s="35"/>
      <c r="F33" s="35"/>
      <c r="G33" s="35"/>
      <c r="H33" s="35"/>
      <c r="I33" s="36"/>
    </row>
    <row r="34" spans="1:9" ht="12.75" customHeight="1">
      <c r="A34" s="37"/>
      <c r="B34" s="80"/>
      <c r="C34" s="44">
        <f>H</f>
        <v>52.900061660655304</v>
      </c>
      <c r="D34" s="40">
        <f>T</f>
        <v>26</v>
      </c>
      <c r="E34" s="41">
        <f>UR</f>
        <v>50</v>
      </c>
      <c r="F34" s="41">
        <f>X</f>
        <v>0.01049638791515281</v>
      </c>
      <c r="G34" s="81">
        <f>TBU</f>
        <v>18.71081735103256</v>
      </c>
      <c r="H34" s="42">
        <f>VAU</f>
        <v>0.8617979125208229</v>
      </c>
      <c r="I34" s="42">
        <f>TR</f>
        <v>14.781220420610396</v>
      </c>
    </row>
    <row r="35" spans="1:9" ht="12.75">
      <c r="A35" s="37"/>
      <c r="B35" s="80"/>
      <c r="C35" s="44" t="s">
        <v>3</v>
      </c>
      <c r="D35" s="82" t="s">
        <v>0</v>
      </c>
      <c r="E35" s="45" t="s">
        <v>1</v>
      </c>
      <c r="F35" s="45" t="s">
        <v>2</v>
      </c>
      <c r="G35" s="45" t="s">
        <v>4</v>
      </c>
      <c r="H35" s="83" t="s">
        <v>5</v>
      </c>
      <c r="I35" s="46" t="s">
        <v>10</v>
      </c>
    </row>
    <row r="36" spans="1:9" ht="12.75">
      <c r="A36" s="47" t="s">
        <v>9</v>
      </c>
      <c r="B36" s="84">
        <f>T</f>
        <v>26</v>
      </c>
      <c r="C36" s="85" t="s">
        <v>6</v>
      </c>
      <c r="D36" s="86" t="s">
        <v>7</v>
      </c>
      <c r="E36" s="51">
        <f>h_ur_t(E34,B36)</f>
        <v>52.900061660655304</v>
      </c>
      <c r="F36" s="51">
        <f>h_x_t(F34,B36)</f>
        <v>52.900061660655304</v>
      </c>
      <c r="G36" s="51">
        <f>h_tbu_t(G34,B36)</f>
        <v>52.90006166065529</v>
      </c>
      <c r="H36" s="57">
        <f>h_vau_t(H34,B36)</f>
        <v>52.900061660655346</v>
      </c>
      <c r="I36" s="57">
        <f>h_tr_t(I34,B36)</f>
        <v>52.900061660655346</v>
      </c>
    </row>
    <row r="37" spans="1:9" ht="12.75">
      <c r="A37" s="53"/>
      <c r="B37" s="87">
        <f>UR</f>
        <v>50</v>
      </c>
      <c r="C37" s="85" t="s">
        <v>1</v>
      </c>
      <c r="D37" s="88">
        <f>h_t_ur(D34,B37)</f>
        <v>52.900061660655304</v>
      </c>
      <c r="E37" s="50" t="s">
        <v>7</v>
      </c>
      <c r="F37" s="51">
        <f>h_x_ur(F34,B37)</f>
        <v>52.90006166065536</v>
      </c>
      <c r="G37" s="51">
        <f>h_tbu_ur(G34,B37)</f>
        <v>52.900061660655346</v>
      </c>
      <c r="H37" s="57">
        <f>h_vau_ur(H34,B37)</f>
        <v>52.90006166065532</v>
      </c>
      <c r="I37" s="57">
        <f>h_tr_ur(I34,B37)</f>
        <v>52.90006166065547</v>
      </c>
    </row>
    <row r="38" spans="1:9" ht="12.75">
      <c r="A38" s="53"/>
      <c r="B38" s="54">
        <f>X</f>
        <v>0.01049638791515281</v>
      </c>
      <c r="C38" s="85" t="s">
        <v>2</v>
      </c>
      <c r="D38" s="88">
        <f>h_t_x(D34,B38)</f>
        <v>52.900061660655304</v>
      </c>
      <c r="E38" s="51">
        <f>h_ur_x(E34,B38)</f>
        <v>52.90006166065536</v>
      </c>
      <c r="F38" s="50" t="s">
        <v>7</v>
      </c>
      <c r="G38" s="51">
        <f>h_tbu_x(G34,B38)</f>
        <v>52.9000616606553</v>
      </c>
      <c r="H38" s="52">
        <f>h_vau_x(H34,B38)</f>
        <v>52.90006166065531</v>
      </c>
      <c r="I38" s="89" t="s">
        <v>7</v>
      </c>
    </row>
    <row r="39" spans="1:9" ht="12.75">
      <c r="A39" s="53"/>
      <c r="B39" s="87">
        <f>TBU</f>
        <v>18.71081735103256</v>
      </c>
      <c r="C39" s="85" t="s">
        <v>4</v>
      </c>
      <c r="D39" s="88">
        <f>h_t_tbu(D34,B39)</f>
        <v>52.90006166065529</v>
      </c>
      <c r="E39" s="51">
        <f>h_ur_tbu(E34,B39)</f>
        <v>52.900061660655346</v>
      </c>
      <c r="F39" s="56">
        <f>h_x_tbu(F34,B39)</f>
        <v>52.9000616606553</v>
      </c>
      <c r="G39" s="50" t="s">
        <v>7</v>
      </c>
      <c r="H39" s="57">
        <f>h_vau_tbu(H34,B39)</f>
        <v>52.90006166065529</v>
      </c>
      <c r="I39" s="57">
        <f>h_tr_tbu(I34,B39)</f>
        <v>52.9000616606553</v>
      </c>
    </row>
    <row r="40" spans="1:9" ht="12.75">
      <c r="A40" s="53"/>
      <c r="B40" s="87">
        <f>VAU</f>
        <v>0.8617979125208229</v>
      </c>
      <c r="C40" s="85" t="s">
        <v>5</v>
      </c>
      <c r="D40" s="88">
        <f>h_t_vau(D34,B40)</f>
        <v>52.900061660655346</v>
      </c>
      <c r="E40" s="51">
        <f>h_ur_vau(E34,B40)</f>
        <v>52.90006166065532</v>
      </c>
      <c r="F40" s="51">
        <f>h_x_vau(F34,B40)</f>
        <v>52.90006166065531</v>
      </c>
      <c r="G40" s="51">
        <f>h_tbu_vau(G34,B40)</f>
        <v>52.90006166065529</v>
      </c>
      <c r="H40" s="90" t="s">
        <v>7</v>
      </c>
      <c r="I40" s="57">
        <f>h_tr_vau(I34,B40)</f>
        <v>52.900061660655346</v>
      </c>
    </row>
    <row r="41" spans="1:9" ht="13.5" thickBot="1">
      <c r="A41" s="59"/>
      <c r="B41" s="60">
        <f>TR</f>
        <v>14.781220420610396</v>
      </c>
      <c r="C41" s="91" t="s">
        <v>10</v>
      </c>
      <c r="D41" s="88">
        <f>h_t_tr(D34,B41)</f>
        <v>52.900061660655346</v>
      </c>
      <c r="E41" s="88">
        <f>h_ur_tr(E34,B41)</f>
        <v>52.90006166065547</v>
      </c>
      <c r="F41" s="89" t="s">
        <v>7</v>
      </c>
      <c r="G41" s="88">
        <f>h_tbu_tr(G34,B41)</f>
        <v>52.9000616606553</v>
      </c>
      <c r="H41" s="88">
        <f>h_vau_tr(H34,B41)</f>
        <v>52.900061660655346</v>
      </c>
      <c r="I41" s="89" t="s">
        <v>7</v>
      </c>
    </row>
    <row r="42" spans="1:9" ht="12.75">
      <c r="A42" s="92"/>
      <c r="B42" s="92"/>
      <c r="C42" s="65" t="s">
        <v>32</v>
      </c>
      <c r="D42" s="66" t="s">
        <v>8</v>
      </c>
      <c r="E42" s="35"/>
      <c r="F42" s="35"/>
      <c r="G42" s="35"/>
      <c r="H42" s="35"/>
      <c r="I42" s="36"/>
    </row>
    <row r="43" spans="1:9" ht="12.75" customHeight="1">
      <c r="A43" s="37"/>
      <c r="B43" s="38"/>
      <c r="C43" s="44">
        <f>TBU</f>
        <v>18.71081735103256</v>
      </c>
      <c r="D43" s="40">
        <f>T</f>
        <v>26</v>
      </c>
      <c r="E43" s="41">
        <f>UR</f>
        <v>50</v>
      </c>
      <c r="F43" s="41">
        <f>X</f>
        <v>0.01049638791515281</v>
      </c>
      <c r="G43" s="41">
        <f>H</f>
        <v>52.900061660655304</v>
      </c>
      <c r="H43" s="41">
        <f>VAU</f>
        <v>0.8617979125208229</v>
      </c>
      <c r="I43" s="42">
        <f>TR</f>
        <v>14.781220420610396</v>
      </c>
    </row>
    <row r="44" spans="1:9" ht="12.75">
      <c r="A44" s="37"/>
      <c r="B44" s="38"/>
      <c r="C44" s="44" t="s">
        <v>4</v>
      </c>
      <c r="D44" s="45" t="s">
        <v>6</v>
      </c>
      <c r="E44" s="45" t="s">
        <v>1</v>
      </c>
      <c r="F44" s="45" t="s">
        <v>2</v>
      </c>
      <c r="G44" s="45" t="s">
        <v>3</v>
      </c>
      <c r="H44" s="45" t="s">
        <v>5</v>
      </c>
      <c r="I44" s="93" t="s">
        <v>10</v>
      </c>
    </row>
    <row r="45" spans="1:9" ht="12.75">
      <c r="A45" s="47" t="s">
        <v>9</v>
      </c>
      <c r="B45" s="48">
        <f>T</f>
        <v>26</v>
      </c>
      <c r="C45" s="49" t="s">
        <v>0</v>
      </c>
      <c r="D45" s="67" t="s">
        <v>7</v>
      </c>
      <c r="E45" s="68">
        <f>tbu_ur_t(E43,B45)</f>
        <v>18.71081735103256</v>
      </c>
      <c r="F45" s="68">
        <f>tbu_x_t(F43,B45)</f>
        <v>18.71081735103256</v>
      </c>
      <c r="G45" s="71">
        <f>tbu_h_t(G43,B45)</f>
        <v>18.710817351032563</v>
      </c>
      <c r="H45" s="68">
        <f>tbu_vau_t(H43,B45)</f>
        <v>18.71081735103259</v>
      </c>
      <c r="I45" s="68">
        <f>tbu_tr_t(I43,B45)</f>
        <v>18.71081735103259</v>
      </c>
    </row>
    <row r="46" spans="1:9" ht="12.75">
      <c r="A46" s="53"/>
      <c r="B46" s="54">
        <f>UR</f>
        <v>50</v>
      </c>
      <c r="C46" s="49" t="s">
        <v>1</v>
      </c>
      <c r="D46" s="68">
        <f>tbu_t_ur(D43,B46)</f>
        <v>18.71081735103256</v>
      </c>
      <c r="E46" s="67" t="s">
        <v>7</v>
      </c>
      <c r="F46" s="68">
        <f>tbu_x_ur(F43,B46)</f>
        <v>18.710817351032603</v>
      </c>
      <c r="G46" s="71">
        <f>tbu_h_ur(G43,B46)</f>
        <v>18.710817351032567</v>
      </c>
      <c r="H46" s="68">
        <f>tbu_vau_ur(H43,B46)</f>
        <v>18.710817351032567</v>
      </c>
      <c r="I46" s="68">
        <f>tbu_tr_ur(I43,B46)</f>
        <v>18.71081735103266</v>
      </c>
    </row>
    <row r="47" spans="1:9" ht="12.75">
      <c r="A47" s="53"/>
      <c r="B47" s="54">
        <f>X</f>
        <v>0.01049638791515281</v>
      </c>
      <c r="C47" s="49" t="s">
        <v>2</v>
      </c>
      <c r="D47" s="68">
        <f>tbu_t_x(D43,B47)</f>
        <v>18.71081735103256</v>
      </c>
      <c r="E47" s="68">
        <f>tbu_ur_x(E43,B47)</f>
        <v>18.710817351032603</v>
      </c>
      <c r="F47" s="67" t="s">
        <v>7</v>
      </c>
      <c r="G47" s="71">
        <f>tbu_h_x(G43,B47)</f>
        <v>18.710817351032563</v>
      </c>
      <c r="H47" s="68">
        <f>tbu_vau_x(H43,B47)</f>
        <v>18.71081735103256</v>
      </c>
      <c r="I47" s="94" t="s">
        <v>7</v>
      </c>
    </row>
    <row r="48" spans="1:9" ht="12.75">
      <c r="A48" s="53"/>
      <c r="B48" s="54">
        <f>H</f>
        <v>52.900061660655304</v>
      </c>
      <c r="C48" s="49" t="s">
        <v>3</v>
      </c>
      <c r="D48" s="71">
        <f>tbu_t_h(D43,B48)</f>
        <v>18.710817351032563</v>
      </c>
      <c r="E48" s="95">
        <f>tbu_ur_h(E43,B48)</f>
        <v>18.710817351032567</v>
      </c>
      <c r="F48" s="71">
        <f>tbu_x_h(F43,B48)</f>
        <v>18.710817351032563</v>
      </c>
      <c r="G48" s="67" t="s">
        <v>7</v>
      </c>
      <c r="H48" s="71">
        <f>tbu_vau_h(H43,B48)</f>
        <v>18.71081735103255</v>
      </c>
      <c r="I48" s="68">
        <f>tbu_tr_h(I43,B48)</f>
        <v>18.71081735103256</v>
      </c>
    </row>
    <row r="49" spans="1:9" ht="12.75">
      <c r="A49" s="53"/>
      <c r="B49" s="54">
        <f>VAU</f>
        <v>0.8617979125208229</v>
      </c>
      <c r="C49" s="49" t="s">
        <v>5</v>
      </c>
      <c r="D49" s="68">
        <f>tbu_t_vau(D43,B49)</f>
        <v>18.71081735103259</v>
      </c>
      <c r="E49" s="68">
        <f>tbu_ur_vau(E43,B49)</f>
        <v>18.710817351032567</v>
      </c>
      <c r="F49" s="68">
        <f>tbu_x_vau(F43,B49)</f>
        <v>18.71081735103256</v>
      </c>
      <c r="G49" s="71">
        <f>tbu_h_vau(G43,B49)</f>
        <v>18.71081735103255</v>
      </c>
      <c r="H49" s="67" t="s">
        <v>7</v>
      </c>
      <c r="I49" s="95">
        <f>tbu_tr_vau(I43,B49)</f>
        <v>18.71081735103259</v>
      </c>
    </row>
    <row r="50" spans="1:9" ht="13.5" thickBot="1">
      <c r="A50" s="59"/>
      <c r="B50" s="60">
        <f>TR</f>
        <v>14.781220420610396</v>
      </c>
      <c r="C50" s="96" t="s">
        <v>10</v>
      </c>
      <c r="D50" s="97">
        <f>tbu_t_tr(D43,B50)</f>
        <v>18.71081735103259</v>
      </c>
      <c r="E50" s="97">
        <f>tbu_ur_tr(E43,B50)</f>
        <v>18.71081735103266</v>
      </c>
      <c r="F50" s="94" t="s">
        <v>7</v>
      </c>
      <c r="G50" s="97">
        <f>tbu_h_tr(G43,B50)</f>
        <v>18.71081735103256</v>
      </c>
      <c r="H50" s="97">
        <f>tbu_vau_tr(H43,B50)</f>
        <v>18.71081735103259</v>
      </c>
      <c r="I50" s="98" t="s">
        <v>7</v>
      </c>
    </row>
    <row r="51" spans="1:11" ht="12.75">
      <c r="A51" s="92"/>
      <c r="B51" s="92"/>
      <c r="C51" s="65" t="s">
        <v>32</v>
      </c>
      <c r="D51" s="66" t="s">
        <v>8</v>
      </c>
      <c r="E51" s="35"/>
      <c r="F51" s="35"/>
      <c r="G51" s="35"/>
      <c r="H51" s="35"/>
      <c r="I51" s="36"/>
      <c r="K51" s="9" t="s">
        <v>26</v>
      </c>
    </row>
    <row r="52" spans="1:11" ht="12.75" customHeight="1">
      <c r="A52" s="37"/>
      <c r="B52" s="38"/>
      <c r="C52" s="44">
        <f>VAU</f>
        <v>0.8617979125208229</v>
      </c>
      <c r="D52" s="40">
        <f>T</f>
        <v>26</v>
      </c>
      <c r="E52" s="41">
        <f>UR</f>
        <v>50</v>
      </c>
      <c r="F52" s="41">
        <f>X</f>
        <v>0.01049638791515281</v>
      </c>
      <c r="G52" s="41">
        <f>H</f>
        <v>52.900061660655304</v>
      </c>
      <c r="H52" s="41">
        <f>TBU</f>
        <v>18.71081735103256</v>
      </c>
      <c r="I52" s="42">
        <f>TR</f>
        <v>14.781220420610396</v>
      </c>
      <c r="K52" s="7" t="s">
        <v>48</v>
      </c>
    </row>
    <row r="53" spans="1:11" ht="12.75">
      <c r="A53" s="37"/>
      <c r="B53" s="38"/>
      <c r="C53" s="44" t="s">
        <v>5</v>
      </c>
      <c r="D53" s="45" t="s">
        <v>0</v>
      </c>
      <c r="E53" s="45" t="s">
        <v>1</v>
      </c>
      <c r="F53" s="45" t="s">
        <v>2</v>
      </c>
      <c r="G53" s="45" t="s">
        <v>3</v>
      </c>
      <c r="H53" s="45" t="s">
        <v>4</v>
      </c>
      <c r="I53" s="93" t="s">
        <v>10</v>
      </c>
      <c r="K53" s="8" t="s">
        <v>27</v>
      </c>
    </row>
    <row r="54" spans="1:11" ht="12.75">
      <c r="A54" s="47" t="s">
        <v>9</v>
      </c>
      <c r="B54" s="48">
        <f>T</f>
        <v>26</v>
      </c>
      <c r="C54" s="49" t="s">
        <v>0</v>
      </c>
      <c r="D54" s="50" t="s">
        <v>7</v>
      </c>
      <c r="E54" s="51">
        <f>vau_ur_t(E52,B54)</f>
        <v>0.8617979125208229</v>
      </c>
      <c r="F54" s="51">
        <f>vau_x_t(F52,B54)</f>
        <v>0.8617979125208229</v>
      </c>
      <c r="G54" s="51">
        <f>vau_h_t(G52,B54)</f>
        <v>0.8617979125208229</v>
      </c>
      <c r="H54" s="51">
        <f>vau_tbu_t(H52,B54)</f>
        <v>0.8617979125208229</v>
      </c>
      <c r="I54" s="51">
        <f>vau_tr_t(I52,B54)</f>
        <v>0.8617979125208229</v>
      </c>
      <c r="K54" s="6" t="s">
        <v>18</v>
      </c>
    </row>
    <row r="55" spans="1:11" ht="12.75">
      <c r="A55" s="53"/>
      <c r="B55" s="54">
        <f>UR</f>
        <v>50</v>
      </c>
      <c r="C55" s="49" t="s">
        <v>1</v>
      </c>
      <c r="D55" s="51">
        <f>vau_t_ur(D52,B55)</f>
        <v>0.8617979125208229</v>
      </c>
      <c r="E55" s="50" t="s">
        <v>7</v>
      </c>
      <c r="F55" s="51">
        <f>vau_x_ur(F52,B55)</f>
        <v>0.861797912520823</v>
      </c>
      <c r="G55" s="51">
        <f>vau_h_ur(G52,B55)</f>
        <v>0.861797912520823</v>
      </c>
      <c r="H55" s="51">
        <f>vau_tbu_ur(H52,B55)</f>
        <v>0.861797912520823</v>
      </c>
      <c r="I55" s="51">
        <f>vau_tr_ur(I52,B55)</f>
        <v>0.8617979125208233</v>
      </c>
      <c r="K55" s="23" t="s">
        <v>45</v>
      </c>
    </row>
    <row r="56" spans="1:9" ht="12.75">
      <c r="A56" s="53"/>
      <c r="B56" s="54">
        <f>X</f>
        <v>0.01049638791515281</v>
      </c>
      <c r="C56" s="49" t="s">
        <v>2</v>
      </c>
      <c r="D56" s="56">
        <f>vau_t_x(D52,B56)</f>
        <v>0.8617979125208229</v>
      </c>
      <c r="E56" s="51">
        <f>vau_ur_x(E52,B56)</f>
        <v>0.861797912520823</v>
      </c>
      <c r="F56" s="50" t="s">
        <v>7</v>
      </c>
      <c r="G56" s="51">
        <f>vau_h_x(G52,B56)</f>
        <v>0.8617979125208229</v>
      </c>
      <c r="H56" s="51">
        <f>vau_tbu_x(H52,B56)</f>
        <v>0.8617979125208229</v>
      </c>
      <c r="I56" s="94" t="s">
        <v>7</v>
      </c>
    </row>
    <row r="57" spans="1:11" ht="12.75">
      <c r="A57" s="53"/>
      <c r="B57" s="54">
        <f>H</f>
        <v>52.900061660655304</v>
      </c>
      <c r="C57" s="49" t="s">
        <v>3</v>
      </c>
      <c r="D57" s="51">
        <f>vau_t_h(D52,B57)</f>
        <v>0.8617979125208229</v>
      </c>
      <c r="E57" s="51">
        <f>vau_ur_h(E52,B57)</f>
        <v>0.861797912520823</v>
      </c>
      <c r="F57" s="51">
        <f>vau_x_h(F52,B57)</f>
        <v>0.8617979125208229</v>
      </c>
      <c r="G57" s="50" t="s">
        <v>7</v>
      </c>
      <c r="H57" s="56">
        <f>vau_tbu_h(H52,B57)</f>
        <v>0.861797912520822</v>
      </c>
      <c r="I57" s="51">
        <f>vau_tr_h(I52,B57)</f>
        <v>0.8617979125208228</v>
      </c>
      <c r="K57" s="23" t="s">
        <v>46</v>
      </c>
    </row>
    <row r="58" spans="1:11" ht="12.75">
      <c r="A58" s="53"/>
      <c r="B58" s="54">
        <f>TBU</f>
        <v>18.71081735103256</v>
      </c>
      <c r="C58" s="49" t="s">
        <v>4</v>
      </c>
      <c r="D58" s="51">
        <f>vau_t_tbu(D52,B58)</f>
        <v>0.8617979125208229</v>
      </c>
      <c r="E58" s="51">
        <f>vau_ur_tbu(E52,B58)</f>
        <v>0.861797912520823</v>
      </c>
      <c r="F58" s="51">
        <f>vau_x_tbu(F52,B58)</f>
        <v>0.8617979125208229</v>
      </c>
      <c r="G58" s="56">
        <f>vau_h_tbu(G52,B58)</f>
        <v>0.861797912520822</v>
      </c>
      <c r="H58" s="50" t="s">
        <v>7</v>
      </c>
      <c r="I58" s="99">
        <f>vau_tr_tbu(I52,B58)</f>
        <v>0.8617979125208228</v>
      </c>
      <c r="K58" s="22" t="s">
        <v>47</v>
      </c>
    </row>
    <row r="59" spans="1:11" ht="13.5" thickBot="1">
      <c r="A59" s="59"/>
      <c r="B59" s="60">
        <f>TR</f>
        <v>14.781220420610396</v>
      </c>
      <c r="C59" s="96" t="s">
        <v>10</v>
      </c>
      <c r="D59" s="100">
        <f>vau_t_tr(D52,B59)</f>
        <v>0.8617979125208229</v>
      </c>
      <c r="E59" s="100">
        <f>vau_ur_tr(E52,B59)</f>
        <v>0.8617979125208233</v>
      </c>
      <c r="F59" s="94" t="s">
        <v>7</v>
      </c>
      <c r="G59" s="100">
        <f>vau_h_tr(G52,B59)</f>
        <v>0.8617979125208228</v>
      </c>
      <c r="H59" s="100">
        <f>vau_tbu_tr(H52,B59)</f>
        <v>0.8617979125208228</v>
      </c>
      <c r="I59" s="98" t="s">
        <v>7</v>
      </c>
      <c r="K59" s="8" t="s">
        <v>21</v>
      </c>
    </row>
    <row r="60" spans="1:11" ht="13.5" thickBot="1">
      <c r="A60" s="25"/>
      <c r="B60" s="25"/>
      <c r="C60" s="25"/>
      <c r="D60" s="25"/>
      <c r="E60" s="25"/>
      <c r="F60" s="25"/>
      <c r="G60" s="25"/>
      <c r="H60" s="25"/>
      <c r="I60" s="25"/>
      <c r="K60" s="3" t="s">
        <v>20</v>
      </c>
    </row>
    <row r="61" spans="1:11" ht="12.75">
      <c r="A61" s="92"/>
      <c r="B61" s="92"/>
      <c r="C61" s="65" t="s">
        <v>32</v>
      </c>
      <c r="D61" s="66" t="s">
        <v>8</v>
      </c>
      <c r="E61" s="35"/>
      <c r="F61" s="35"/>
      <c r="G61" s="35"/>
      <c r="H61" s="35"/>
      <c r="I61" s="36"/>
      <c r="K61" s="6" t="s">
        <v>22</v>
      </c>
    </row>
    <row r="62" spans="1:11" ht="12.75" customHeight="1">
      <c r="A62" s="37"/>
      <c r="B62" s="38"/>
      <c r="C62" s="44">
        <f>TR</f>
        <v>14.781220420610396</v>
      </c>
      <c r="D62" s="40">
        <f>T</f>
        <v>26</v>
      </c>
      <c r="E62" s="41">
        <f>UR</f>
        <v>50</v>
      </c>
      <c r="F62" s="41">
        <f>X</f>
        <v>0.01049638791515281</v>
      </c>
      <c r="G62" s="41">
        <f>H</f>
        <v>52.900061660655304</v>
      </c>
      <c r="H62" s="41">
        <f>TBU</f>
        <v>18.71081735103256</v>
      </c>
      <c r="I62" s="41">
        <f>VAU</f>
        <v>0.8617979125208229</v>
      </c>
      <c r="K62" s="5" t="s">
        <v>29</v>
      </c>
    </row>
    <row r="63" spans="1:9" ht="12.75">
      <c r="A63" s="37"/>
      <c r="B63" s="38"/>
      <c r="C63" s="44" t="s">
        <v>10</v>
      </c>
      <c r="D63" s="45" t="s">
        <v>0</v>
      </c>
      <c r="E63" s="45" t="s">
        <v>1</v>
      </c>
      <c r="F63" s="45" t="s">
        <v>2</v>
      </c>
      <c r="G63" s="45" t="s">
        <v>3</v>
      </c>
      <c r="H63" s="45" t="s">
        <v>4</v>
      </c>
      <c r="I63" s="45" t="s">
        <v>5</v>
      </c>
    </row>
    <row r="64" spans="1:11" ht="12.75">
      <c r="A64" s="47" t="s">
        <v>9</v>
      </c>
      <c r="B64" s="48">
        <f>T</f>
        <v>26</v>
      </c>
      <c r="C64" s="49" t="s">
        <v>0</v>
      </c>
      <c r="D64" s="50" t="s">
        <v>7</v>
      </c>
      <c r="E64" s="51">
        <f>tr_ur_t(E62,B64)</f>
        <v>14.781220420610396</v>
      </c>
      <c r="F64" s="51">
        <f>tr_x(F62)</f>
        <v>14.781220420610396</v>
      </c>
      <c r="G64" s="51">
        <f>tr_h_t(G62,B64)</f>
        <v>14.781220420610396</v>
      </c>
      <c r="H64" s="51">
        <f>tr_tbu_t(H62,B64)</f>
        <v>14.781220420610396</v>
      </c>
      <c r="I64" s="68">
        <f>tr_vau_t(I62,B64)</f>
        <v>14.781220420610396</v>
      </c>
      <c r="K64" s="24" t="s">
        <v>28</v>
      </c>
    </row>
    <row r="65" spans="1:11" ht="12.75">
      <c r="A65" s="53"/>
      <c r="B65" s="54">
        <f>UR</f>
        <v>50</v>
      </c>
      <c r="C65" s="49" t="s">
        <v>1</v>
      </c>
      <c r="D65" s="51">
        <f>tr_t_ur(D62,B65)</f>
        <v>14.781220420610396</v>
      </c>
      <c r="E65" s="50" t="s">
        <v>7</v>
      </c>
      <c r="F65" s="76"/>
      <c r="G65" s="51">
        <f>tr_h_ur(G62,B65)</f>
        <v>14.781220420610339</v>
      </c>
      <c r="H65" s="51">
        <f>tr_tbu_ur(H62,B65)</f>
        <v>14.781220420610396</v>
      </c>
      <c r="I65" s="68">
        <f>tr_vau_ur(I62,B65)</f>
        <v>14.781220420610396</v>
      </c>
      <c r="K65" s="24" t="s">
        <v>24</v>
      </c>
    </row>
    <row r="66" spans="1:11" ht="12.75">
      <c r="A66" s="53"/>
      <c r="B66" s="54">
        <f>X</f>
        <v>0.01049638791515281</v>
      </c>
      <c r="C66" s="49" t="s">
        <v>2</v>
      </c>
      <c r="D66" s="76"/>
      <c r="E66" s="76"/>
      <c r="F66" s="50" t="s">
        <v>7</v>
      </c>
      <c r="G66" s="76"/>
      <c r="H66" s="76"/>
      <c r="I66" s="101"/>
      <c r="K66" s="24" t="s">
        <v>25</v>
      </c>
    </row>
    <row r="67" spans="1:9" ht="12.75">
      <c r="A67" s="53"/>
      <c r="B67" s="54">
        <f>H</f>
        <v>52.900061660655304</v>
      </c>
      <c r="C67" s="49" t="s">
        <v>3</v>
      </c>
      <c r="D67" s="51">
        <f>tr_t_h(D62,B67)</f>
        <v>14.781220420610396</v>
      </c>
      <c r="E67" s="51">
        <f>tr_ur_h(E62,B67)</f>
        <v>14.781220420610339</v>
      </c>
      <c r="F67" s="76"/>
      <c r="G67" s="50" t="s">
        <v>7</v>
      </c>
      <c r="H67" s="56">
        <f>tr_tbu_h(H62,B67)</f>
        <v>14.781220420610566</v>
      </c>
      <c r="I67" s="51">
        <f>tr_vau_h(I62,B67)</f>
        <v>14.781220420610794</v>
      </c>
    </row>
    <row r="68" spans="1:9" ht="12.75">
      <c r="A68" s="53"/>
      <c r="B68" s="54">
        <f>TBU</f>
        <v>18.71081735103256</v>
      </c>
      <c r="C68" s="49" t="s">
        <v>4</v>
      </c>
      <c r="D68" s="51">
        <f>tr_t_tbu(D62,B68)</f>
        <v>14.781220420610396</v>
      </c>
      <c r="E68" s="51">
        <f>tr_ur_tbu(E62,B68)</f>
        <v>14.781220420610396</v>
      </c>
      <c r="F68" s="76"/>
      <c r="G68" s="56">
        <f>tr_h_tbu(G62,B68)</f>
        <v>14.781220420610566</v>
      </c>
      <c r="H68" s="50" t="s">
        <v>7</v>
      </c>
      <c r="I68" s="99">
        <f>tr_vau_tbu(I62,B68)</f>
        <v>14.781220420609941</v>
      </c>
    </row>
    <row r="69" spans="1:9" ht="12.75">
      <c r="A69" s="59"/>
      <c r="B69" s="102">
        <f>VAU</f>
        <v>0.8617979125208229</v>
      </c>
      <c r="C69" s="103" t="s">
        <v>5</v>
      </c>
      <c r="D69" s="100">
        <f>tr_t_vau(D62,B69)</f>
        <v>14.781220420610396</v>
      </c>
      <c r="E69" s="100">
        <f>tr_ur_vau(E62,B69)</f>
        <v>14.781220420610396</v>
      </c>
      <c r="F69" s="104"/>
      <c r="G69" s="100">
        <f>tr_h_vau(G62,B69)</f>
        <v>14.781220420610794</v>
      </c>
      <c r="H69" s="100">
        <f>tr_tbu_vau(H62,B69)</f>
        <v>14.781220420609941</v>
      </c>
      <c r="I69" s="98" t="s">
        <v>7</v>
      </c>
    </row>
    <row r="74" spans="5:6" ht="12.75">
      <c r="E74" s="10"/>
      <c r="F74" s="11"/>
    </row>
  </sheetData>
  <sheetProtection password="CC43" sheet="1" objects="1" scenarios="1"/>
  <mergeCells count="23">
    <mergeCell ref="A27:A32"/>
    <mergeCell ref="K6:L6"/>
    <mergeCell ref="K7:L7"/>
    <mergeCell ref="K8:L8"/>
    <mergeCell ref="K9:L9"/>
    <mergeCell ref="K10:L10"/>
    <mergeCell ref="K5:L5"/>
    <mergeCell ref="K1:L2"/>
    <mergeCell ref="D61:I61"/>
    <mergeCell ref="A64:A69"/>
    <mergeCell ref="D51:I51"/>
    <mergeCell ref="D42:I42"/>
    <mergeCell ref="D33:I33"/>
    <mergeCell ref="A54:A59"/>
    <mergeCell ref="A45:A50"/>
    <mergeCell ref="A36:A41"/>
    <mergeCell ref="C1:I1"/>
    <mergeCell ref="D24:I24"/>
    <mergeCell ref="D15:I15"/>
    <mergeCell ref="D6:I6"/>
    <mergeCell ref="A18:A23"/>
    <mergeCell ref="A9:A14"/>
    <mergeCell ref="C2:I2"/>
  </mergeCells>
  <hyperlinks>
    <hyperlink ref="K1" r:id="rId1" display="www.ingenergia.it"/>
  </hyperlink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71" r:id="rId3"/>
  <headerFooter alignWithMargins="0"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Mitsubishi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Battillocchi Ferdinando</dc:creator>
  <cp:keywords/>
  <dc:description/>
  <cp:lastModifiedBy>EA-3</cp:lastModifiedBy>
  <cp:lastPrinted>2011-06-01T15:36:50Z</cp:lastPrinted>
  <dcterms:created xsi:type="dcterms:W3CDTF">2010-09-24T07:10:27Z</dcterms:created>
  <dcterms:modified xsi:type="dcterms:W3CDTF">2014-01-27T15:30:14Z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